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890" yWindow="0" windowWidth="22260" windowHeight="12645" activeTab="2"/>
  </bookViews>
  <sheets>
    <sheet name="SF diffamt .E " sheetId="1" r:id="rId1"/>
    <sheet name="Sheet1" sheetId="2" r:id="rId2"/>
    <sheet name="Meeting 5" sheetId="3" r:id="rId3"/>
  </sheets>
  <definedNames>
    <definedName name="_xlnm._FilterDatabase" localSheetId="1" hidden="1">Sheet1!$A$1:$I$57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3" l="1"/>
  <c r="G24" i="3"/>
  <c r="G23" i="3"/>
  <c r="G22" i="3"/>
  <c r="G15" i="3"/>
  <c r="G18" i="3"/>
  <c r="G17" i="3"/>
  <c r="G16" i="3"/>
  <c r="F5" i="3" l="1"/>
  <c r="F4" i="3"/>
  <c r="F3" i="3"/>
  <c r="F2" i="3"/>
  <c r="G32" i="1"/>
  <c r="G37" i="1" l="1"/>
  <c r="G36" i="1"/>
  <c r="E37" i="1"/>
  <c r="E36" i="1"/>
  <c r="D37" i="1"/>
  <c r="D36" i="1"/>
  <c r="G35" i="1"/>
  <c r="G34" i="1"/>
  <c r="G45" i="1"/>
  <c r="G44" i="1"/>
  <c r="D45" i="1"/>
  <c r="D44" i="1"/>
  <c r="E35" i="1"/>
  <c r="E34" i="1"/>
  <c r="G43" i="1"/>
  <c r="G42" i="1"/>
  <c r="G33" i="1"/>
  <c r="E43" i="1"/>
  <c r="D43" i="1"/>
  <c r="D42" i="1"/>
  <c r="E33" i="1"/>
  <c r="D33" i="1"/>
  <c r="D32" i="1"/>
  <c r="E42" i="1"/>
  <c r="E32" i="1"/>
  <c r="H24" i="1"/>
  <c r="H23" i="1"/>
  <c r="H22" i="1"/>
  <c r="H18" i="1"/>
  <c r="M5" i="1"/>
  <c r="L6" i="1"/>
  <c r="L5" i="1"/>
  <c r="G29" i="1"/>
  <c r="G28" i="1"/>
  <c r="E29" i="1"/>
  <c r="D29" i="1"/>
  <c r="D28" i="1"/>
  <c r="E28" i="1"/>
  <c r="G22" i="1"/>
  <c r="G21" i="1"/>
  <c r="H21" i="1" s="1"/>
  <c r="G20" i="1"/>
  <c r="H20" i="1" s="1"/>
  <c r="E25" i="1"/>
  <c r="E24" i="1"/>
  <c r="E23" i="1"/>
  <c r="E22" i="1"/>
  <c r="E21" i="1"/>
  <c r="E20" i="1"/>
  <c r="D25" i="1"/>
  <c r="D24" i="1"/>
  <c r="G24" i="1" s="1"/>
  <c r="D23" i="1"/>
  <c r="G23" i="1" s="1"/>
  <c r="D22" i="1"/>
  <c r="D21" i="1"/>
  <c r="D20" i="1"/>
  <c r="E18" i="1"/>
  <c r="G18" i="1" s="1"/>
  <c r="E17" i="1"/>
  <c r="E16" i="1"/>
  <c r="D17" i="1"/>
  <c r="G17" i="1" s="1"/>
  <c r="H17" i="1" s="1"/>
  <c r="D16" i="1"/>
  <c r="G16" i="1" s="1"/>
  <c r="H16" i="1" s="1"/>
  <c r="E15" i="1"/>
  <c r="G15" i="1" s="1"/>
  <c r="H15" i="1" s="1"/>
  <c r="E14" i="1"/>
  <c r="G25" i="1" l="1"/>
  <c r="H25" i="1" s="1"/>
  <c r="D14" i="1"/>
  <c r="G14" i="1" s="1"/>
  <c r="H14" i="1" s="1"/>
  <c r="D13" i="1"/>
  <c r="E13" i="1"/>
  <c r="G8" i="1"/>
  <c r="H8" i="1" s="1"/>
  <c r="D7" i="1"/>
  <c r="G7" i="1" s="1"/>
  <c r="H7" i="1" s="1"/>
  <c r="E6" i="1"/>
  <c r="G6" i="1" s="1"/>
  <c r="H6" i="1" s="1"/>
  <c r="I6" i="1"/>
  <c r="G13" i="1" l="1"/>
  <c r="H13" i="1" s="1"/>
</calcChain>
</file>

<file path=xl/sharedStrings.xml><?xml version="1.0" encoding="utf-8"?>
<sst xmlns="http://schemas.openxmlformats.org/spreadsheetml/2006/main" count="197" uniqueCount="89">
  <si>
    <t>0.2um</t>
  </si>
  <si>
    <t>Ref QM ct</t>
  </si>
  <si>
    <t>Ref E ct</t>
  </si>
  <si>
    <t>Average</t>
  </si>
  <si>
    <t xml:space="preserve">Date </t>
  </si>
  <si>
    <t>220429R1</t>
  </si>
  <si>
    <t>N/A</t>
  </si>
  <si>
    <t>Remark</t>
  </si>
  <si>
    <t>1 out of 2</t>
  </si>
  <si>
    <t>T=100</t>
  </si>
  <si>
    <t>Est. Bacterial Count</t>
  </si>
  <si>
    <t>E lysis buf used  (uL)</t>
  </si>
  <si>
    <t>100-E RT</t>
  </si>
  <si>
    <t>Sample</t>
  </si>
  <si>
    <t>Cq</t>
  </si>
  <si>
    <t>100-QM</t>
  </si>
  <si>
    <t>10-QM</t>
  </si>
  <si>
    <t>1-QM</t>
  </si>
  <si>
    <t>100-E 80C</t>
  </si>
  <si>
    <t>10-E 80C</t>
  </si>
  <si>
    <t>1-E 80C</t>
  </si>
  <si>
    <t>10-E RT</t>
  </si>
  <si>
    <t>1-E RT</t>
  </si>
  <si>
    <t>100-EF-0.2 RT</t>
  </si>
  <si>
    <t>10-EF-0.2 RT</t>
  </si>
  <si>
    <t>1-EF-0.2 RT</t>
  </si>
  <si>
    <t>100-EF-0.2 1mlE</t>
  </si>
  <si>
    <t>10-EF-0.2 1mlE</t>
  </si>
  <si>
    <t>1-EF-0.2 1mlE</t>
  </si>
  <si>
    <t>100-EF-0.4</t>
  </si>
  <si>
    <t>10-EF-0.4</t>
  </si>
  <si>
    <t>1-EF-0.4</t>
  </si>
  <si>
    <t>100-EF-0.4 1mlE</t>
  </si>
  <si>
    <t>100-Ec 80C</t>
  </si>
  <si>
    <t>100-Ec RT</t>
  </si>
  <si>
    <t>100-EcS 80C</t>
  </si>
  <si>
    <t>100-EcS RT</t>
  </si>
  <si>
    <t>100-EcS40 80C</t>
  </si>
  <si>
    <t>100-EcS40 RT</t>
  </si>
  <si>
    <r>
      <rPr>
        <b/>
        <sz val="11"/>
        <color theme="1"/>
        <rFont val="Calibri"/>
        <family val="2"/>
        <scheme val="minor"/>
      </rPr>
      <t xml:space="preserve">ct diff </t>
    </r>
    <r>
      <rPr>
        <sz val="11"/>
        <color theme="1"/>
        <rFont val="Calibri"/>
        <family val="2"/>
        <scheme val="minor"/>
      </rPr>
      <t>from             E-SF &amp; Ref E</t>
    </r>
  </si>
  <si>
    <r>
      <t>SF-0.2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</t>
    </r>
  </si>
  <si>
    <t>NIL</t>
  </si>
  <si>
    <t>20220509 filtration unit</t>
  </si>
  <si>
    <t>ct value detected</t>
  </si>
  <si>
    <t>Method of lysis for 0.2FU</t>
  </si>
  <si>
    <t>Vortexing</t>
  </si>
  <si>
    <t>Soaked in</t>
  </si>
  <si>
    <t>Duration</t>
  </si>
  <si>
    <t>3 mins</t>
  </si>
  <si>
    <t>Yield loss (%)</t>
  </si>
  <si>
    <t>xd</t>
  </si>
  <si>
    <t>loss</t>
  </si>
  <si>
    <r>
      <rPr>
        <b/>
        <sz val="11"/>
        <color theme="1"/>
        <rFont val="Calibri"/>
        <family val="2"/>
        <scheme val="minor"/>
      </rPr>
      <t xml:space="preserve">ct diff </t>
    </r>
    <r>
      <rPr>
        <sz val="11"/>
        <color theme="1"/>
        <rFont val="Calibri"/>
        <family val="2"/>
        <scheme val="minor"/>
      </rPr>
      <t xml:space="preserve">from             </t>
    </r>
    <r>
      <rPr>
        <b/>
        <sz val="11"/>
        <color theme="1"/>
        <rFont val="Calibri"/>
        <family val="2"/>
        <scheme val="minor"/>
      </rPr>
      <t>E-FU</t>
    </r>
    <r>
      <rPr>
        <sz val="11"/>
        <color theme="1"/>
        <rFont val="Calibri"/>
        <family val="2"/>
        <scheme val="minor"/>
      </rPr>
      <t xml:space="preserve"> &amp; Ref E</t>
    </r>
  </si>
  <si>
    <r>
      <rPr>
        <b/>
        <sz val="11"/>
        <color theme="1"/>
        <rFont val="Calibri"/>
        <family val="2"/>
        <scheme val="minor"/>
      </rPr>
      <t xml:space="preserve">ct diff </t>
    </r>
    <r>
      <rPr>
        <sz val="11"/>
        <color theme="1"/>
        <rFont val="Calibri"/>
        <family val="2"/>
        <scheme val="minor"/>
      </rPr>
      <t xml:space="preserve">from             </t>
    </r>
    <r>
      <rPr>
        <b/>
        <sz val="11"/>
        <color theme="1"/>
        <rFont val="Calibri"/>
        <family val="2"/>
        <scheme val="minor"/>
      </rPr>
      <t>E-SF</t>
    </r>
    <r>
      <rPr>
        <sz val="11"/>
        <color theme="1"/>
        <rFont val="Calibri"/>
        <family val="2"/>
        <scheme val="minor"/>
      </rPr>
      <t xml:space="preserve"> &amp; Ref E</t>
    </r>
  </si>
  <si>
    <t>Size of Syringe Filter (SF)</t>
  </si>
  <si>
    <r>
      <rPr>
        <b/>
        <sz val="11"/>
        <color rgb="FFC00000"/>
        <rFont val="Calibri"/>
        <family val="2"/>
        <scheme val="minor"/>
      </rPr>
      <t>ES</t>
    </r>
    <r>
      <rPr>
        <b/>
        <sz val="11"/>
        <color theme="1"/>
        <rFont val="Calibri"/>
        <family val="2"/>
        <scheme val="minor"/>
      </rPr>
      <t xml:space="preserve"> lysis buf used  (uL)</t>
    </r>
  </si>
  <si>
    <r>
      <t xml:space="preserve">Ref </t>
    </r>
    <r>
      <rPr>
        <b/>
        <sz val="11"/>
        <color rgb="FFC00000"/>
        <rFont val="Calibri"/>
        <family val="2"/>
        <scheme val="minor"/>
      </rPr>
      <t>ES</t>
    </r>
    <r>
      <rPr>
        <b/>
        <sz val="11"/>
        <color theme="1"/>
        <rFont val="Calibri"/>
        <family val="2"/>
        <scheme val="minor"/>
      </rPr>
      <t xml:space="preserve"> ct</t>
    </r>
  </si>
  <si>
    <r>
      <rPr>
        <b/>
        <sz val="11"/>
        <color theme="1"/>
        <rFont val="Calibri"/>
        <family val="2"/>
        <scheme val="minor"/>
      </rPr>
      <t xml:space="preserve">ct diff </t>
    </r>
    <r>
      <rPr>
        <sz val="11"/>
        <color theme="1"/>
        <rFont val="Calibri"/>
        <family val="2"/>
        <scheme val="minor"/>
      </rPr>
      <t xml:space="preserve">from             </t>
    </r>
    <r>
      <rPr>
        <b/>
        <sz val="11"/>
        <color rgb="FFC00000"/>
        <rFont val="Calibri"/>
        <family val="2"/>
        <scheme val="minor"/>
      </rPr>
      <t>ES</t>
    </r>
    <r>
      <rPr>
        <b/>
        <sz val="11"/>
        <color theme="1"/>
        <rFont val="Calibri"/>
        <family val="2"/>
        <scheme val="minor"/>
      </rPr>
      <t>-SF</t>
    </r>
    <r>
      <rPr>
        <sz val="11"/>
        <color theme="1"/>
        <rFont val="Calibri"/>
        <family val="2"/>
        <scheme val="minor"/>
      </rPr>
      <t xml:space="preserve"> &amp; Ref E</t>
    </r>
  </si>
  <si>
    <t>0.2 um</t>
  </si>
  <si>
    <t>0.4 um</t>
  </si>
  <si>
    <t>0.4um</t>
  </si>
  <si>
    <t>Flowthrough</t>
  </si>
  <si>
    <t>Sample lysis &amp; collection  Method</t>
  </si>
  <si>
    <t xml:space="preserve">Bi-directional </t>
  </si>
  <si>
    <t>Reverse</t>
  </si>
  <si>
    <r>
      <t>SF-0.2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 xml:space="preserve">m               (ct) </t>
    </r>
  </si>
  <si>
    <r>
      <t>SF-0.4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 xml:space="preserve">m               (ct) </t>
    </r>
  </si>
  <si>
    <t xml:space="preserve">ES Lysis Buffer Used </t>
  </si>
  <si>
    <t>1000ul</t>
  </si>
  <si>
    <t>State</t>
  </si>
  <si>
    <t>Live</t>
  </si>
  <si>
    <t>Dead</t>
  </si>
  <si>
    <t>SF Pore Size</t>
  </si>
  <si>
    <t>Ref Direct Ext (80deg) ct</t>
  </si>
  <si>
    <t>Medium</t>
  </si>
  <si>
    <t>Volume of Medium</t>
  </si>
  <si>
    <t>10ml</t>
  </si>
  <si>
    <t>500ml</t>
  </si>
  <si>
    <t xml:space="preserve">  Clean Tap water</t>
  </si>
  <si>
    <t xml:space="preserve">  Tap Water</t>
  </si>
  <si>
    <t xml:space="preserve">  LB broth</t>
  </si>
  <si>
    <t xml:space="preserve">  MilliQ Water</t>
  </si>
  <si>
    <t xml:space="preserve"> MilliQ Water</t>
  </si>
  <si>
    <t>-</t>
  </si>
  <si>
    <t>ES lysis buf used  (uL)</t>
  </si>
  <si>
    <t>No Culture</t>
  </si>
  <si>
    <t>100ul of Culture</t>
  </si>
  <si>
    <t>Spiked in</t>
  </si>
  <si>
    <r>
      <rPr>
        <b/>
        <sz val="11"/>
        <color theme="1"/>
        <rFont val="Calibri"/>
        <family val="2"/>
        <scheme val="minor"/>
      </rPr>
      <t xml:space="preserve">ct diff </t>
    </r>
    <r>
      <rPr>
        <sz val="11"/>
        <color theme="1"/>
        <rFont val="Calibri"/>
        <family val="2"/>
        <scheme val="minor"/>
      </rPr>
      <t>from             ES-SF &amp; Ref 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</si>
</sst>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1" xfId="0" applyBorder="1"/>
    <xf numFmtId="16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7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 wrapText="1"/>
    </xf>
    <xf numFmtId="2" fontId="4" fillId="5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2" fontId="0" fillId="9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topLeftCell="A10" workbookViewId="0">
      <selection activeCell="N33" sqref="N33"/>
    </sheetView>
  </sheetViews>
  <sheetFormatPr defaultRowHeight="15" x14ac:dyDescent="0.25"/>
  <cols>
    <col min="1" max="1" width="12.28515625" customWidth="1"/>
    <col min="2" max="2" width="13.5703125" customWidth="1"/>
    <col min="3" max="3" width="13.7109375" customWidth="1"/>
    <col min="4" max="4" width="12.7109375" style="1" customWidth="1"/>
    <col min="6" max="6" width="9.42578125" hidden="1" customWidth="1"/>
    <col min="7" max="7" width="12.7109375" customWidth="1"/>
    <col min="8" max="8" width="6.28515625" customWidth="1"/>
    <col min="9" max="9" width="8.85546875" customWidth="1"/>
  </cols>
  <sheetData>
    <row r="2" spans="1:14" x14ac:dyDescent="0.25">
      <c r="M2" s="2" t="s">
        <v>50</v>
      </c>
      <c r="N2" s="2" t="s">
        <v>51</v>
      </c>
    </row>
    <row r="3" spans="1:14" x14ac:dyDescent="0.25">
      <c r="B3" t="s">
        <v>0</v>
      </c>
      <c r="L3">
        <v>3.3330000000000002</v>
      </c>
      <c r="M3" s="2">
        <v>10</v>
      </c>
      <c r="N3" s="2">
        <v>90</v>
      </c>
    </row>
    <row r="4" spans="1:14" x14ac:dyDescent="0.25">
      <c r="D4" s="46"/>
      <c r="E4" s="46"/>
    </row>
    <row r="5" spans="1:14" s="6" customFormat="1" ht="45" x14ac:dyDescent="0.25">
      <c r="A5" s="6" t="s">
        <v>9</v>
      </c>
      <c r="B5" s="14" t="s">
        <v>10</v>
      </c>
      <c r="C5" s="14" t="s">
        <v>11</v>
      </c>
      <c r="D5" s="14" t="s">
        <v>40</v>
      </c>
      <c r="E5" s="14" t="s">
        <v>2</v>
      </c>
      <c r="F5" s="11" t="s">
        <v>4</v>
      </c>
      <c r="G5" s="11" t="s">
        <v>39</v>
      </c>
      <c r="H5" s="6" t="s">
        <v>49</v>
      </c>
      <c r="I5" s="15" t="s">
        <v>1</v>
      </c>
      <c r="K5" s="6">
        <v>3.33</v>
      </c>
      <c r="L5">
        <f>10^(K5/3.33)</f>
        <v>10</v>
      </c>
      <c r="M5" s="6">
        <f>100-(100/10)</f>
        <v>90</v>
      </c>
    </row>
    <row r="6" spans="1:14" x14ac:dyDescent="0.25">
      <c r="B6" s="13">
        <v>30800</v>
      </c>
      <c r="C6" s="9">
        <v>500</v>
      </c>
      <c r="D6" s="10">
        <v>24.32</v>
      </c>
      <c r="E6" s="10">
        <f>(17.67+17.93)/2</f>
        <v>17.8</v>
      </c>
      <c r="F6" s="9" t="s">
        <v>5</v>
      </c>
      <c r="G6" s="38">
        <f>D6-E6</f>
        <v>6.52</v>
      </c>
      <c r="H6" s="12">
        <f>100-100/10^(G6/3.33)</f>
        <v>98.898354050366351</v>
      </c>
      <c r="I6" s="8">
        <f>(16.53+16.99)/2</f>
        <v>16.759999999999998</v>
      </c>
      <c r="K6">
        <v>6.66</v>
      </c>
      <c r="L6">
        <f>10^(K6/3.33)</f>
        <v>100</v>
      </c>
    </row>
    <row r="7" spans="1:14" x14ac:dyDescent="0.25">
      <c r="B7" s="13">
        <v>3080</v>
      </c>
      <c r="C7" s="9">
        <v>500</v>
      </c>
      <c r="D7" s="10">
        <f>28.31</f>
        <v>28.31</v>
      </c>
      <c r="E7" s="10">
        <v>20.93</v>
      </c>
      <c r="F7" s="9" t="s">
        <v>5</v>
      </c>
      <c r="G7" s="38">
        <f>D7-E7</f>
        <v>7.379999999999999</v>
      </c>
      <c r="H7" s="12">
        <f>100-100/10^(G7/3.33)</f>
        <v>99.392167687170272</v>
      </c>
      <c r="I7" s="8">
        <v>21.9</v>
      </c>
    </row>
    <row r="8" spans="1:14" x14ac:dyDescent="0.25">
      <c r="B8" s="13">
        <v>308</v>
      </c>
      <c r="C8" s="9">
        <v>500</v>
      </c>
      <c r="D8" s="10">
        <v>29.11</v>
      </c>
      <c r="E8" s="10">
        <v>24.19</v>
      </c>
      <c r="F8" s="9" t="s">
        <v>5</v>
      </c>
      <c r="G8" s="38">
        <f>D8-E8</f>
        <v>4.9199999999999982</v>
      </c>
      <c r="H8" s="12">
        <f>100-100/10^(G8/3.33)</f>
        <v>96.669399656375404</v>
      </c>
      <c r="I8" s="8">
        <v>23.85</v>
      </c>
    </row>
    <row r="9" spans="1:14" x14ac:dyDescent="0.25">
      <c r="H9" s="4"/>
    </row>
    <row r="11" spans="1:14" x14ac:dyDescent="0.25">
      <c r="B11" s="3" t="s">
        <v>0</v>
      </c>
      <c r="D11" s="46" t="s">
        <v>3</v>
      </c>
      <c r="E11" s="46"/>
    </row>
    <row r="12" spans="1:14" ht="29.45" customHeight="1" x14ac:dyDescent="0.25">
      <c r="A12" t="s">
        <v>9</v>
      </c>
      <c r="B12" s="14" t="s">
        <v>10</v>
      </c>
      <c r="C12" s="14" t="s">
        <v>11</v>
      </c>
      <c r="D12" s="14" t="s">
        <v>65</v>
      </c>
      <c r="E12" s="14" t="s">
        <v>2</v>
      </c>
      <c r="F12" s="11" t="s">
        <v>4</v>
      </c>
      <c r="G12" s="11" t="s">
        <v>39</v>
      </c>
      <c r="H12" s="6" t="s">
        <v>49</v>
      </c>
      <c r="I12" s="27" t="s">
        <v>7</v>
      </c>
      <c r="J12" s="16" t="s">
        <v>1</v>
      </c>
    </row>
    <row r="13" spans="1:14" x14ac:dyDescent="0.25">
      <c r="B13" s="19">
        <v>12500</v>
      </c>
      <c r="C13" s="19">
        <v>455</v>
      </c>
      <c r="D13" s="20">
        <f>(27.32+27.45)/2</f>
        <v>27.384999999999998</v>
      </c>
      <c r="E13" s="21">
        <f>(22.4+22.35)/2</f>
        <v>22.375</v>
      </c>
      <c r="F13" s="19">
        <v>20220505</v>
      </c>
      <c r="G13" s="37">
        <f>D13-E13</f>
        <v>5.009999999999998</v>
      </c>
      <c r="H13" s="12">
        <f t="shared" ref="H13:H18" si="0">100-100/10^(G13/3.33)</f>
        <v>96.870351989329237</v>
      </c>
      <c r="I13" s="47" t="s">
        <v>41</v>
      </c>
      <c r="J13" s="1" t="s">
        <v>6</v>
      </c>
    </row>
    <row r="14" spans="1:14" x14ac:dyDescent="0.25">
      <c r="B14" s="19">
        <v>1240</v>
      </c>
      <c r="C14" s="19">
        <v>455</v>
      </c>
      <c r="D14" s="20">
        <f>(31.4+30.27)/2</f>
        <v>30.835000000000001</v>
      </c>
      <c r="E14" s="21">
        <f>(25.64+25.32)/2</f>
        <v>25.48</v>
      </c>
      <c r="F14" s="19"/>
      <c r="G14" s="37">
        <f t="shared" ref="G14:G15" si="1">D14-E14</f>
        <v>5.3550000000000004</v>
      </c>
      <c r="H14" s="12">
        <f t="shared" si="0"/>
        <v>97.534574452899207</v>
      </c>
      <c r="I14" s="47"/>
      <c r="J14" s="1" t="s">
        <v>6</v>
      </c>
    </row>
    <row r="15" spans="1:14" x14ac:dyDescent="0.25">
      <c r="B15" s="19">
        <v>125</v>
      </c>
      <c r="C15" s="19">
        <v>455</v>
      </c>
      <c r="D15" s="20">
        <v>31.97</v>
      </c>
      <c r="E15" s="20">
        <f>(29.01+28.84)/2</f>
        <v>28.925000000000001</v>
      </c>
      <c r="F15" s="19"/>
      <c r="G15" s="37">
        <f t="shared" si="1"/>
        <v>3.0449999999999982</v>
      </c>
      <c r="H15" s="12">
        <f t="shared" si="0"/>
        <v>87.821730359627821</v>
      </c>
      <c r="I15" s="18" t="s">
        <v>8</v>
      </c>
      <c r="J15" s="1" t="s">
        <v>6</v>
      </c>
    </row>
    <row r="16" spans="1:14" x14ac:dyDescent="0.25">
      <c r="B16" s="9">
        <v>12500</v>
      </c>
      <c r="C16" s="9">
        <v>1000</v>
      </c>
      <c r="D16" s="9">
        <f>(27.28+27.21)/2</f>
        <v>27.245000000000001</v>
      </c>
      <c r="E16" s="22">
        <f>(22.4+22.35)/2</f>
        <v>22.375</v>
      </c>
      <c r="F16" s="9"/>
      <c r="G16" s="36">
        <f>D16-E16</f>
        <v>4.870000000000001</v>
      </c>
      <c r="H16" s="12">
        <f t="shared" si="0"/>
        <v>96.552235945265537</v>
      </c>
      <c r="I16" s="47" t="s">
        <v>41</v>
      </c>
      <c r="J16" s="1" t="s">
        <v>6</v>
      </c>
    </row>
    <row r="17" spans="1:12" x14ac:dyDescent="0.25">
      <c r="B17" s="9">
        <v>1240</v>
      </c>
      <c r="C17" s="9">
        <v>1000</v>
      </c>
      <c r="D17" s="9">
        <f>(30.8+30.22)/2</f>
        <v>30.509999999999998</v>
      </c>
      <c r="E17" s="22">
        <f>(25.64+25.32)/2</f>
        <v>25.48</v>
      </c>
      <c r="F17" s="9"/>
      <c r="G17" s="36">
        <f t="shared" ref="G17:G18" si="2">D17-E17</f>
        <v>5.0299999999999976</v>
      </c>
      <c r="H17" s="12">
        <f t="shared" si="0"/>
        <v>96.913335056662717</v>
      </c>
      <c r="I17" s="47"/>
      <c r="J17" s="1" t="s">
        <v>6</v>
      </c>
    </row>
    <row r="18" spans="1:12" x14ac:dyDescent="0.25">
      <c r="B18" s="9">
        <v>125</v>
      </c>
      <c r="C18" s="9">
        <v>1000</v>
      </c>
      <c r="D18" s="9">
        <v>32.03</v>
      </c>
      <c r="E18" s="23">
        <f>(29.01+28.84)/2</f>
        <v>28.925000000000001</v>
      </c>
      <c r="F18" s="9"/>
      <c r="G18" s="36">
        <f t="shared" si="2"/>
        <v>3.1050000000000004</v>
      </c>
      <c r="H18" s="12">
        <f t="shared" si="0"/>
        <v>88.31664514556708</v>
      </c>
      <c r="I18" s="18" t="s">
        <v>8</v>
      </c>
      <c r="J18" s="1" t="s">
        <v>6</v>
      </c>
    </row>
    <row r="19" spans="1:12" ht="29.45" customHeight="1" x14ac:dyDescent="0.25">
      <c r="B19" s="15" t="s">
        <v>10</v>
      </c>
      <c r="C19" s="15" t="s">
        <v>11</v>
      </c>
      <c r="D19" s="15" t="s">
        <v>66</v>
      </c>
      <c r="E19" s="15" t="s">
        <v>2</v>
      </c>
      <c r="F19" s="24" t="s">
        <v>4</v>
      </c>
      <c r="G19" s="24" t="s">
        <v>39</v>
      </c>
      <c r="H19" s="6" t="s">
        <v>49</v>
      </c>
      <c r="I19" s="27" t="s">
        <v>7</v>
      </c>
      <c r="J19" s="16" t="s">
        <v>1</v>
      </c>
    </row>
    <row r="20" spans="1:12" x14ac:dyDescent="0.25">
      <c r="B20" s="19">
        <v>12500</v>
      </c>
      <c r="C20" s="19">
        <v>455</v>
      </c>
      <c r="D20" s="25">
        <f>(26.99+26.77)/2</f>
        <v>26.88</v>
      </c>
      <c r="E20" s="21">
        <f>(22.4+22.35)/2</f>
        <v>22.375</v>
      </c>
      <c r="F20" s="26"/>
      <c r="G20" s="37">
        <f>D20-E20</f>
        <v>4.504999999999999</v>
      </c>
      <c r="H20" s="12">
        <f t="shared" ref="H20:H25" si="3">100-100/10^(G20/3.33)</f>
        <v>95.562410276423506</v>
      </c>
      <c r="I20" s="47" t="s">
        <v>41</v>
      </c>
    </row>
    <row r="21" spans="1:12" x14ac:dyDescent="0.25">
      <c r="B21" s="19">
        <v>1240</v>
      </c>
      <c r="C21" s="19">
        <v>455</v>
      </c>
      <c r="D21" s="25">
        <f>(30.03+30.26)/2</f>
        <v>30.145000000000003</v>
      </c>
      <c r="E21" s="21">
        <f>(25.64+25.32)/2</f>
        <v>25.48</v>
      </c>
      <c r="F21" s="26"/>
      <c r="G21" s="37">
        <f t="shared" ref="G21:G22" si="4">D21-E21</f>
        <v>4.6650000000000027</v>
      </c>
      <c r="H21" s="12">
        <f t="shared" si="3"/>
        <v>96.02717807389746</v>
      </c>
      <c r="I21" s="47"/>
    </row>
    <row r="22" spans="1:12" x14ac:dyDescent="0.25">
      <c r="B22" s="19">
        <v>125</v>
      </c>
      <c r="C22" s="19">
        <v>455</v>
      </c>
      <c r="D22" s="25">
        <f>(31.89+31.95)/2</f>
        <v>31.92</v>
      </c>
      <c r="E22" s="20">
        <f>(29.01+28.84)/2</f>
        <v>28.925000000000001</v>
      </c>
      <c r="F22" s="26"/>
      <c r="G22" s="37">
        <f t="shared" si="4"/>
        <v>2.995000000000001</v>
      </c>
      <c r="H22" s="12">
        <f t="shared" si="3"/>
        <v>87.393323730566507</v>
      </c>
      <c r="I22" s="47"/>
    </row>
    <row r="23" spans="1:12" x14ac:dyDescent="0.25">
      <c r="B23" s="9">
        <v>12500</v>
      </c>
      <c r="C23" s="9">
        <v>1000</v>
      </c>
      <c r="D23" s="7">
        <f>(24.85+25.01)/2</f>
        <v>24.93</v>
      </c>
      <c r="E23" s="22">
        <f>(22.4+22.35)/2</f>
        <v>22.375</v>
      </c>
      <c r="F23" s="17"/>
      <c r="G23" s="36">
        <f>D23-E23</f>
        <v>2.5549999999999997</v>
      </c>
      <c r="H23" s="12">
        <f t="shared" si="3"/>
        <v>82.910367142086557</v>
      </c>
      <c r="I23" s="47"/>
    </row>
    <row r="24" spans="1:12" x14ac:dyDescent="0.25">
      <c r="B24" s="9">
        <v>1240</v>
      </c>
      <c r="C24" s="9">
        <v>1000</v>
      </c>
      <c r="D24" s="7">
        <f>(28.62+29.05)/2</f>
        <v>28.835000000000001</v>
      </c>
      <c r="E24" s="22">
        <f>(25.64+25.32)/2</f>
        <v>25.48</v>
      </c>
      <c r="F24" s="17"/>
      <c r="G24" s="36">
        <f t="shared" ref="G24:G25" si="5">D24-E24</f>
        <v>3.3550000000000004</v>
      </c>
      <c r="H24" s="12">
        <f t="shared" si="3"/>
        <v>90.171381175606285</v>
      </c>
      <c r="I24" s="47"/>
    </row>
    <row r="25" spans="1:12" x14ac:dyDescent="0.25">
      <c r="B25" s="9">
        <v>125</v>
      </c>
      <c r="C25" s="9">
        <v>1000</v>
      </c>
      <c r="D25" s="7">
        <f>(32.37+32)/2</f>
        <v>32.185000000000002</v>
      </c>
      <c r="E25" s="23">
        <f>(29.01+28.84)/2</f>
        <v>28.925000000000001</v>
      </c>
      <c r="F25" s="17"/>
      <c r="G25" s="36">
        <f t="shared" si="5"/>
        <v>3.2600000000000016</v>
      </c>
      <c r="H25" s="12">
        <f t="shared" si="3"/>
        <v>89.504067694417742</v>
      </c>
      <c r="I25" s="47"/>
    </row>
    <row r="27" spans="1:12" ht="30" x14ac:dyDescent="0.25">
      <c r="A27" s="28" t="s">
        <v>11</v>
      </c>
      <c r="B27" s="28" t="s">
        <v>44</v>
      </c>
      <c r="C27" s="13" t="s">
        <v>47</v>
      </c>
      <c r="D27" s="28" t="s">
        <v>43</v>
      </c>
      <c r="E27" s="30" t="s">
        <v>2</v>
      </c>
      <c r="F27" s="31" t="s">
        <v>4</v>
      </c>
      <c r="G27" s="31" t="s">
        <v>52</v>
      </c>
      <c r="H27" s="39"/>
      <c r="L27" t="s">
        <v>42</v>
      </c>
    </row>
    <row r="28" spans="1:12" x14ac:dyDescent="0.25">
      <c r="A28" s="33">
        <v>5000</v>
      </c>
      <c r="B28" s="33" t="s">
        <v>45</v>
      </c>
      <c r="C28" s="33" t="s">
        <v>48</v>
      </c>
      <c r="D28" s="33">
        <f>(27.49+27.35)/2</f>
        <v>27.42</v>
      </c>
      <c r="E28" s="34">
        <f>(22.18+22.15)/2</f>
        <v>22.164999999999999</v>
      </c>
      <c r="F28" s="33"/>
      <c r="G28" s="35">
        <f t="shared" ref="G28:G29" si="6">D28-E28</f>
        <v>5.2550000000000026</v>
      </c>
      <c r="H28" s="40"/>
    </row>
    <row r="29" spans="1:12" x14ac:dyDescent="0.25">
      <c r="A29" s="32">
        <v>5000</v>
      </c>
      <c r="B29" s="9" t="s">
        <v>46</v>
      </c>
      <c r="C29" s="9" t="s">
        <v>48</v>
      </c>
      <c r="D29" s="9">
        <f>(28.95+28.57)/2</f>
        <v>28.759999999999998</v>
      </c>
      <c r="E29" s="23">
        <f>(22.18+22.15)/2</f>
        <v>22.164999999999999</v>
      </c>
      <c r="F29" s="9"/>
      <c r="G29" s="36">
        <f t="shared" si="6"/>
        <v>6.5949999999999989</v>
      </c>
      <c r="H29" s="41"/>
    </row>
    <row r="31" spans="1:12" ht="45" x14ac:dyDescent="0.25">
      <c r="A31" s="29" t="s">
        <v>62</v>
      </c>
      <c r="B31" s="42" t="s">
        <v>11</v>
      </c>
      <c r="C31" s="28" t="s">
        <v>54</v>
      </c>
      <c r="D31" s="28" t="s">
        <v>43</v>
      </c>
      <c r="E31" s="30" t="s">
        <v>2</v>
      </c>
      <c r="F31" s="31" t="s">
        <v>4</v>
      </c>
      <c r="G31" s="31" t="s">
        <v>53</v>
      </c>
      <c r="J31">
        <v>20220512</v>
      </c>
    </row>
    <row r="32" spans="1:12" x14ac:dyDescent="0.25">
      <c r="A32" s="45" t="s">
        <v>61</v>
      </c>
      <c r="B32" s="9">
        <v>1000</v>
      </c>
      <c r="C32" s="9" t="s">
        <v>58</v>
      </c>
      <c r="D32" s="23">
        <f>(27.18+26.93)/2</f>
        <v>27.055</v>
      </c>
      <c r="E32" s="9">
        <f>(21.03+20.89)/2</f>
        <v>20.96</v>
      </c>
      <c r="F32" s="5"/>
      <c r="G32" s="36">
        <f>D32-E32</f>
        <v>6.0949999999999989</v>
      </c>
    </row>
    <row r="33" spans="1:7" x14ac:dyDescent="0.25">
      <c r="A33" s="45"/>
      <c r="B33" s="9">
        <v>5000</v>
      </c>
      <c r="C33" s="9" t="s">
        <v>58</v>
      </c>
      <c r="D33" s="23">
        <f>(26.86+27.08)/2</f>
        <v>26.97</v>
      </c>
      <c r="E33" s="9">
        <f>(21.03+20.89)/2</f>
        <v>20.96</v>
      </c>
      <c r="F33" s="5"/>
      <c r="G33" s="36">
        <f t="shared" ref="G32:G37" si="7">D33-E33</f>
        <v>6.009999999999998</v>
      </c>
    </row>
    <row r="34" spans="1:7" x14ac:dyDescent="0.25">
      <c r="A34" s="45"/>
      <c r="B34" s="9">
        <v>1000</v>
      </c>
      <c r="C34" s="9" t="s">
        <v>59</v>
      </c>
      <c r="D34" s="9">
        <v>26.69</v>
      </c>
      <c r="E34" s="9">
        <f>(21.09+20.99)/2</f>
        <v>21.04</v>
      </c>
      <c r="F34" s="5"/>
      <c r="G34" s="36">
        <f t="shared" si="7"/>
        <v>5.6500000000000021</v>
      </c>
    </row>
    <row r="35" spans="1:7" x14ac:dyDescent="0.25">
      <c r="A35" s="45"/>
      <c r="B35" s="9">
        <v>5000</v>
      </c>
      <c r="C35" s="9" t="s">
        <v>59</v>
      </c>
      <c r="D35" s="9">
        <v>25.06</v>
      </c>
      <c r="E35" s="9">
        <f>(21.09+20.99)/2</f>
        <v>21.04</v>
      </c>
      <c r="F35" s="5"/>
      <c r="G35" s="43">
        <f t="shared" si="7"/>
        <v>4.0199999999999996</v>
      </c>
    </row>
    <row r="36" spans="1:7" ht="30" x14ac:dyDescent="0.25">
      <c r="A36" s="44" t="s">
        <v>63</v>
      </c>
      <c r="B36" s="33">
        <v>5000</v>
      </c>
      <c r="C36" s="33" t="s">
        <v>60</v>
      </c>
      <c r="D36" s="34">
        <f>(24.37+24.36)/2</f>
        <v>24.365000000000002</v>
      </c>
      <c r="E36" s="33">
        <f t="shared" ref="E36:E37" si="8">(21.09+20.99)/2</f>
        <v>21.04</v>
      </c>
      <c r="F36" s="33"/>
      <c r="G36" s="35">
        <f t="shared" si="7"/>
        <v>3.3250000000000028</v>
      </c>
    </row>
    <row r="37" spans="1:7" x14ac:dyDescent="0.25">
      <c r="A37" s="44" t="s">
        <v>64</v>
      </c>
      <c r="B37" s="33">
        <v>5000</v>
      </c>
      <c r="C37" s="33" t="s">
        <v>60</v>
      </c>
      <c r="D37" s="33">
        <f>(23.96+24.01)/2</f>
        <v>23.984999999999999</v>
      </c>
      <c r="E37" s="33">
        <f t="shared" si="8"/>
        <v>21.04</v>
      </c>
      <c r="F37" s="33"/>
      <c r="G37" s="35">
        <f t="shared" si="7"/>
        <v>2.9450000000000003</v>
      </c>
    </row>
    <row r="38" spans="1:7" x14ac:dyDescent="0.25">
      <c r="B38" s="5"/>
      <c r="C38" s="5"/>
      <c r="D38" s="5"/>
      <c r="E38" s="5"/>
      <c r="F38" s="5"/>
      <c r="G38" s="5"/>
    </row>
    <row r="39" spans="1:7" x14ac:dyDescent="0.25">
      <c r="B39" s="5"/>
      <c r="C39" s="5"/>
      <c r="D39" s="5"/>
      <c r="E39" s="5"/>
      <c r="F39" s="5"/>
      <c r="G39" s="5"/>
    </row>
    <row r="40" spans="1:7" x14ac:dyDescent="0.25">
      <c r="B40" s="5"/>
      <c r="C40" s="5"/>
      <c r="D40" s="5"/>
      <c r="E40" s="5"/>
      <c r="F40" s="5"/>
      <c r="G40" s="5"/>
    </row>
    <row r="41" spans="1:7" ht="45" x14ac:dyDescent="0.25">
      <c r="A41" s="29" t="s">
        <v>62</v>
      </c>
      <c r="B41" s="28" t="s">
        <v>55</v>
      </c>
      <c r="C41" s="28" t="s">
        <v>54</v>
      </c>
      <c r="D41" s="28" t="s">
        <v>43</v>
      </c>
      <c r="E41" s="30" t="s">
        <v>56</v>
      </c>
      <c r="F41" s="31" t="s">
        <v>4</v>
      </c>
      <c r="G41" s="31" t="s">
        <v>57</v>
      </c>
    </row>
    <row r="42" spans="1:7" x14ac:dyDescent="0.25">
      <c r="A42" s="45" t="s">
        <v>61</v>
      </c>
      <c r="B42" s="9">
        <v>1000</v>
      </c>
      <c r="C42" s="9" t="s">
        <v>58</v>
      </c>
      <c r="D42" s="23">
        <f>(27.04+26.81)/2</f>
        <v>26.924999999999997</v>
      </c>
      <c r="E42" s="9">
        <f>(19.81+19.75)/2</f>
        <v>19.78</v>
      </c>
      <c r="F42" s="9"/>
      <c r="G42" s="36">
        <f t="shared" ref="G42:G45" si="9">D42-E42</f>
        <v>7.144999999999996</v>
      </c>
    </row>
    <row r="43" spans="1:7" x14ac:dyDescent="0.25">
      <c r="A43" s="45"/>
      <c r="B43" s="9">
        <v>5000</v>
      </c>
      <c r="C43" s="9" t="s">
        <v>58</v>
      </c>
      <c r="D43" s="23">
        <f>(26.17+26.12)/2</f>
        <v>26.145000000000003</v>
      </c>
      <c r="E43" s="9">
        <f>(19.81+19.75)/2</f>
        <v>19.78</v>
      </c>
      <c r="F43" s="9"/>
      <c r="G43" s="36">
        <f t="shared" si="9"/>
        <v>6.365000000000002</v>
      </c>
    </row>
    <row r="44" spans="1:7" x14ac:dyDescent="0.25">
      <c r="A44" s="45"/>
      <c r="B44" s="9">
        <v>1000</v>
      </c>
      <c r="C44" s="9" t="s">
        <v>59</v>
      </c>
      <c r="D44" s="7">
        <f>(26.07+25.99)/2</f>
        <v>26.03</v>
      </c>
      <c r="E44" s="7">
        <v>19.850000000000001</v>
      </c>
      <c r="F44" s="17"/>
      <c r="G44" s="36">
        <f t="shared" si="9"/>
        <v>6.18</v>
      </c>
    </row>
    <row r="45" spans="1:7" x14ac:dyDescent="0.25">
      <c r="A45" s="45"/>
      <c r="B45" s="9">
        <v>5000</v>
      </c>
      <c r="C45" s="9" t="s">
        <v>59</v>
      </c>
      <c r="D45" s="7">
        <f>(26.01+25.77)/2</f>
        <v>25.89</v>
      </c>
      <c r="E45" s="7">
        <v>19.850000000000001</v>
      </c>
      <c r="F45" s="17"/>
      <c r="G45" s="36">
        <f t="shared" si="9"/>
        <v>6.0399999999999991</v>
      </c>
    </row>
  </sheetData>
  <mergeCells count="7">
    <mergeCell ref="A32:A35"/>
    <mergeCell ref="A42:A45"/>
    <mergeCell ref="D4:E4"/>
    <mergeCell ref="D11:E11"/>
    <mergeCell ref="I20:I25"/>
    <mergeCell ref="I16:I17"/>
    <mergeCell ref="I13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opLeftCell="A28" zoomScaleNormal="100" workbookViewId="0">
      <selection sqref="A1:XFD1048576"/>
    </sheetView>
  </sheetViews>
  <sheetFormatPr defaultRowHeight="15" x14ac:dyDescent="0.25"/>
  <cols>
    <col min="1" max="2" width="30.140625" customWidth="1"/>
  </cols>
  <sheetData>
    <row r="1" spans="1:2" x14ac:dyDescent="0.25">
      <c r="A1" t="s">
        <v>13</v>
      </c>
      <c r="B1" t="s">
        <v>14</v>
      </c>
    </row>
    <row r="2" spans="1:2" x14ac:dyDescent="0.25">
      <c r="A2" t="s">
        <v>18</v>
      </c>
      <c r="B2">
        <v>21.84</v>
      </c>
    </row>
    <row r="3" spans="1:2" x14ac:dyDescent="0.25">
      <c r="A3" t="s">
        <v>18</v>
      </c>
      <c r="B3">
        <v>21.74</v>
      </c>
    </row>
    <row r="4" spans="1:2" x14ac:dyDescent="0.25">
      <c r="A4" t="s">
        <v>12</v>
      </c>
      <c r="B4">
        <v>22.4</v>
      </c>
    </row>
    <row r="5" spans="1:2" x14ac:dyDescent="0.25">
      <c r="A5" t="s">
        <v>12</v>
      </c>
      <c r="B5">
        <v>22.35</v>
      </c>
    </row>
    <row r="6" spans="1:2" x14ac:dyDescent="0.25">
      <c r="A6" t="s">
        <v>33</v>
      </c>
      <c r="B6">
        <v>21.78</v>
      </c>
    </row>
    <row r="7" spans="1:2" x14ac:dyDescent="0.25">
      <c r="A7" t="s">
        <v>33</v>
      </c>
      <c r="B7">
        <v>21.84</v>
      </c>
    </row>
    <row r="8" spans="1:2" x14ac:dyDescent="0.25">
      <c r="A8" t="s">
        <v>34</v>
      </c>
      <c r="B8">
        <v>22.28</v>
      </c>
    </row>
    <row r="9" spans="1:2" x14ac:dyDescent="0.25">
      <c r="A9" t="s">
        <v>34</v>
      </c>
      <c r="B9">
        <v>22.24</v>
      </c>
    </row>
    <row r="10" spans="1:2" x14ac:dyDescent="0.25">
      <c r="A10" t="s">
        <v>35</v>
      </c>
      <c r="B10">
        <v>21.42</v>
      </c>
    </row>
    <row r="11" spans="1:2" x14ac:dyDescent="0.25">
      <c r="A11" t="s">
        <v>35</v>
      </c>
      <c r="B11">
        <v>21.45</v>
      </c>
    </row>
    <row r="12" spans="1:2" x14ac:dyDescent="0.25">
      <c r="A12" t="s">
        <v>36</v>
      </c>
      <c r="B12">
        <v>22.48</v>
      </c>
    </row>
    <row r="13" spans="1:2" x14ac:dyDescent="0.25">
      <c r="A13" t="s">
        <v>36</v>
      </c>
      <c r="B13">
        <v>22.48</v>
      </c>
    </row>
    <row r="14" spans="1:2" x14ac:dyDescent="0.25">
      <c r="A14" t="s">
        <v>37</v>
      </c>
      <c r="B14">
        <v>21.89</v>
      </c>
    </row>
    <row r="15" spans="1:2" x14ac:dyDescent="0.25">
      <c r="A15" t="s">
        <v>37</v>
      </c>
      <c r="B15">
        <v>21.92</v>
      </c>
    </row>
    <row r="16" spans="1:2" x14ac:dyDescent="0.25">
      <c r="A16" t="s">
        <v>38</v>
      </c>
      <c r="B16">
        <v>22.17</v>
      </c>
    </row>
    <row r="17" spans="1:2" x14ac:dyDescent="0.25">
      <c r="A17" t="s">
        <v>38</v>
      </c>
      <c r="B17">
        <v>22.19</v>
      </c>
    </row>
    <row r="18" spans="1:2" x14ac:dyDescent="0.25">
      <c r="A18" t="s">
        <v>26</v>
      </c>
      <c r="B18">
        <v>27.28</v>
      </c>
    </row>
    <row r="19" spans="1:2" x14ac:dyDescent="0.25">
      <c r="A19" t="s">
        <v>26</v>
      </c>
      <c r="B19">
        <v>27.21</v>
      </c>
    </row>
    <row r="20" spans="1:2" x14ac:dyDescent="0.25">
      <c r="A20" t="s">
        <v>23</v>
      </c>
      <c r="B20">
        <v>27.32</v>
      </c>
    </row>
    <row r="21" spans="1:2" x14ac:dyDescent="0.25">
      <c r="A21" t="s">
        <v>23</v>
      </c>
      <c r="B21">
        <v>27.45</v>
      </c>
    </row>
    <row r="22" spans="1:2" x14ac:dyDescent="0.25">
      <c r="A22" t="s">
        <v>29</v>
      </c>
      <c r="B22">
        <v>26.99</v>
      </c>
    </row>
    <row r="23" spans="1:2" x14ac:dyDescent="0.25">
      <c r="A23" t="s">
        <v>29</v>
      </c>
      <c r="B23">
        <v>26.77</v>
      </c>
    </row>
    <row r="24" spans="1:2" x14ac:dyDescent="0.25">
      <c r="A24" t="s">
        <v>32</v>
      </c>
      <c r="B24">
        <v>24.85</v>
      </c>
    </row>
    <row r="25" spans="1:2" x14ac:dyDescent="0.25">
      <c r="A25" t="s">
        <v>32</v>
      </c>
      <c r="B25">
        <v>25.01</v>
      </c>
    </row>
    <row r="26" spans="1:2" x14ac:dyDescent="0.25">
      <c r="A26" t="s">
        <v>15</v>
      </c>
      <c r="B26">
        <v>20.66</v>
      </c>
    </row>
    <row r="27" spans="1:2" x14ac:dyDescent="0.25">
      <c r="A27" t="s">
        <v>15</v>
      </c>
      <c r="B27">
        <v>20.51</v>
      </c>
    </row>
    <row r="28" spans="1:2" x14ac:dyDescent="0.25">
      <c r="A28" t="s">
        <v>19</v>
      </c>
      <c r="B28">
        <v>25.07</v>
      </c>
    </row>
    <row r="29" spans="1:2" x14ac:dyDescent="0.25">
      <c r="A29" t="s">
        <v>19</v>
      </c>
      <c r="B29">
        <v>24.83</v>
      </c>
    </row>
    <row r="30" spans="1:2" x14ac:dyDescent="0.25">
      <c r="A30" t="s">
        <v>21</v>
      </c>
      <c r="B30">
        <v>25.64</v>
      </c>
    </row>
    <row r="31" spans="1:2" x14ac:dyDescent="0.25">
      <c r="A31" t="s">
        <v>21</v>
      </c>
      <c r="B31">
        <v>25.32</v>
      </c>
    </row>
    <row r="32" spans="1:2" x14ac:dyDescent="0.25">
      <c r="A32" t="s">
        <v>27</v>
      </c>
      <c r="B32">
        <v>30.08</v>
      </c>
    </row>
    <row r="33" spans="1:2" x14ac:dyDescent="0.25">
      <c r="A33" t="s">
        <v>27</v>
      </c>
      <c r="B33">
        <v>28.62</v>
      </c>
    </row>
    <row r="34" spans="1:2" x14ac:dyDescent="0.25">
      <c r="A34" t="s">
        <v>27</v>
      </c>
      <c r="B34">
        <v>30.22</v>
      </c>
    </row>
    <row r="35" spans="1:2" x14ac:dyDescent="0.25">
      <c r="A35" t="s">
        <v>27</v>
      </c>
      <c r="B35">
        <v>29.05</v>
      </c>
    </row>
    <row r="36" spans="1:2" x14ac:dyDescent="0.25">
      <c r="A36" t="s">
        <v>24</v>
      </c>
      <c r="B36">
        <v>31.4</v>
      </c>
    </row>
    <row r="37" spans="1:2" x14ac:dyDescent="0.25">
      <c r="A37" t="s">
        <v>24</v>
      </c>
      <c r="B37">
        <v>30.27</v>
      </c>
    </row>
    <row r="38" spans="1:2" x14ac:dyDescent="0.25">
      <c r="A38" t="s">
        <v>30</v>
      </c>
      <c r="B38">
        <v>30.03</v>
      </c>
    </row>
    <row r="39" spans="1:2" x14ac:dyDescent="0.25">
      <c r="A39" t="s">
        <v>30</v>
      </c>
      <c r="B39">
        <v>30.26</v>
      </c>
    </row>
    <row r="40" spans="1:2" x14ac:dyDescent="0.25">
      <c r="A40" t="s">
        <v>16</v>
      </c>
      <c r="B40">
        <v>24.14</v>
      </c>
    </row>
    <row r="41" spans="1:2" x14ac:dyDescent="0.25">
      <c r="A41" t="s">
        <v>16</v>
      </c>
      <c r="B41">
        <v>24.13</v>
      </c>
    </row>
    <row r="42" spans="1:2" x14ac:dyDescent="0.25">
      <c r="A42" t="s">
        <v>20</v>
      </c>
      <c r="B42">
        <v>27.89</v>
      </c>
    </row>
    <row r="43" spans="1:2" x14ac:dyDescent="0.25">
      <c r="A43" t="s">
        <v>20</v>
      </c>
      <c r="B43">
        <v>27.74</v>
      </c>
    </row>
    <row r="44" spans="1:2" x14ac:dyDescent="0.25">
      <c r="A44" t="s">
        <v>22</v>
      </c>
      <c r="B44">
        <v>29.01</v>
      </c>
    </row>
    <row r="45" spans="1:2" x14ac:dyDescent="0.25">
      <c r="A45" t="s">
        <v>22</v>
      </c>
      <c r="B45">
        <v>28.84</v>
      </c>
    </row>
    <row r="46" spans="1:2" x14ac:dyDescent="0.25">
      <c r="A46" t="s">
        <v>28</v>
      </c>
      <c r="B46">
        <v>32.03</v>
      </c>
    </row>
    <row r="47" spans="1:2" x14ac:dyDescent="0.25">
      <c r="A47" t="s">
        <v>28</v>
      </c>
      <c r="B47">
        <v>32.369999999999997</v>
      </c>
    </row>
    <row r="48" spans="1:2" x14ac:dyDescent="0.25">
      <c r="A48" t="s">
        <v>28</v>
      </c>
      <c r="B48">
        <v>13.82</v>
      </c>
    </row>
    <row r="49" spans="1:2" x14ac:dyDescent="0.25">
      <c r="A49" t="s">
        <v>28</v>
      </c>
      <c r="B49">
        <v>32</v>
      </c>
    </row>
    <row r="50" spans="1:2" x14ac:dyDescent="0.25">
      <c r="A50" t="s">
        <v>25</v>
      </c>
      <c r="B50">
        <v>31.81</v>
      </c>
    </row>
    <row r="51" spans="1:2" x14ac:dyDescent="0.25">
      <c r="A51" t="s">
        <v>25</v>
      </c>
      <c r="B51" t="s">
        <v>6</v>
      </c>
    </row>
    <row r="52" spans="1:2" x14ac:dyDescent="0.25">
      <c r="A52" t="s">
        <v>31</v>
      </c>
      <c r="B52">
        <v>31.89</v>
      </c>
    </row>
    <row r="53" spans="1:2" x14ac:dyDescent="0.25">
      <c r="A53" t="s">
        <v>31</v>
      </c>
      <c r="B53">
        <v>31.95</v>
      </c>
    </row>
    <row r="54" spans="1:2" x14ac:dyDescent="0.25">
      <c r="A54" t="s">
        <v>17</v>
      </c>
      <c r="B54">
        <v>27.8</v>
      </c>
    </row>
    <row r="55" spans="1:2" x14ac:dyDescent="0.25">
      <c r="A55" t="s">
        <v>17</v>
      </c>
      <c r="B55">
        <v>27.75</v>
      </c>
    </row>
    <row r="56" spans="1:2" x14ac:dyDescent="0.25">
      <c r="B56">
        <v>18.41</v>
      </c>
    </row>
    <row r="57" spans="1:2" x14ac:dyDescent="0.25">
      <c r="B57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3" workbookViewId="0">
      <selection activeCell="C26" sqref="C26"/>
    </sheetView>
  </sheetViews>
  <sheetFormatPr defaultRowHeight="15" x14ac:dyDescent="0.25"/>
  <cols>
    <col min="1" max="2" width="20.5703125" customWidth="1"/>
    <col min="3" max="3" width="20.42578125" customWidth="1"/>
    <col min="4" max="4" width="11.7109375" customWidth="1"/>
    <col min="5" max="5" width="14" customWidth="1"/>
    <col min="6" max="6" width="12.7109375" customWidth="1"/>
  </cols>
  <sheetData>
    <row r="1" spans="1:7" ht="46.5" customHeight="1" x14ac:dyDescent="0.25">
      <c r="A1" s="53" t="s">
        <v>69</v>
      </c>
      <c r="B1" s="49" t="s">
        <v>67</v>
      </c>
      <c r="C1" s="49" t="s">
        <v>72</v>
      </c>
      <c r="D1" s="54" t="s">
        <v>43</v>
      </c>
      <c r="E1" s="30" t="s">
        <v>73</v>
      </c>
      <c r="F1" s="55" t="s">
        <v>57</v>
      </c>
    </row>
    <row r="2" spans="1:7" x14ac:dyDescent="0.25">
      <c r="A2" s="50" t="s">
        <v>70</v>
      </c>
      <c r="B2" s="9" t="s">
        <v>68</v>
      </c>
      <c r="C2" s="57" t="s">
        <v>0</v>
      </c>
      <c r="D2" s="9">
        <v>17.25</v>
      </c>
      <c r="E2" s="9">
        <v>18.43</v>
      </c>
      <c r="F2" s="61">
        <f>D2-E2</f>
        <v>-1.1799999999999997</v>
      </c>
    </row>
    <row r="3" spans="1:7" x14ac:dyDescent="0.25">
      <c r="A3" s="51" t="s">
        <v>71</v>
      </c>
      <c r="B3" s="9" t="s">
        <v>68</v>
      </c>
      <c r="C3" s="57"/>
      <c r="D3" s="9">
        <v>20.100000000000001</v>
      </c>
      <c r="E3" s="9">
        <v>18.43</v>
      </c>
      <c r="F3" s="9">
        <f>D3-E3</f>
        <v>1.6700000000000017</v>
      </c>
    </row>
    <row r="4" spans="1:7" x14ac:dyDescent="0.25">
      <c r="A4" s="50" t="s">
        <v>70</v>
      </c>
      <c r="B4" s="9" t="s">
        <v>68</v>
      </c>
      <c r="C4" s="56" t="s">
        <v>60</v>
      </c>
      <c r="D4" s="9">
        <v>17.7</v>
      </c>
      <c r="E4" s="9">
        <v>18.43</v>
      </c>
      <c r="F4" s="61">
        <f>D4-E4</f>
        <v>-0.73000000000000043</v>
      </c>
    </row>
    <row r="5" spans="1:7" x14ac:dyDescent="0.25">
      <c r="A5" s="51" t="s">
        <v>71</v>
      </c>
      <c r="B5" s="9" t="s">
        <v>68</v>
      </c>
      <c r="C5" s="56"/>
      <c r="D5" s="9">
        <v>16.53</v>
      </c>
      <c r="E5" s="9">
        <v>18.43</v>
      </c>
      <c r="F5" s="61">
        <f>D5-E5</f>
        <v>-1.8999999999999986</v>
      </c>
    </row>
    <row r="13" spans="1:7" ht="60" x14ac:dyDescent="0.25">
      <c r="A13" s="54" t="s">
        <v>87</v>
      </c>
      <c r="B13" s="54" t="s">
        <v>75</v>
      </c>
      <c r="C13" s="54" t="s">
        <v>74</v>
      </c>
      <c r="D13" s="54" t="s">
        <v>84</v>
      </c>
      <c r="E13" s="54" t="s">
        <v>65</v>
      </c>
      <c r="F13" s="30" t="s">
        <v>73</v>
      </c>
      <c r="G13" s="60" t="s">
        <v>88</v>
      </c>
    </row>
    <row r="14" spans="1:7" x14ac:dyDescent="0.25">
      <c r="A14" s="9" t="s">
        <v>85</v>
      </c>
      <c r="B14" s="52" t="s">
        <v>76</v>
      </c>
      <c r="C14" s="25" t="s">
        <v>78</v>
      </c>
      <c r="D14" s="19">
        <v>1000</v>
      </c>
      <c r="E14" s="20" t="s">
        <v>6</v>
      </c>
      <c r="F14" s="58">
        <v>15.38</v>
      </c>
      <c r="G14" s="37" t="s">
        <v>83</v>
      </c>
    </row>
    <row r="15" spans="1:7" x14ac:dyDescent="0.25">
      <c r="A15" s="48" t="s">
        <v>86</v>
      </c>
      <c r="B15" s="52"/>
      <c r="C15" s="25" t="s">
        <v>79</v>
      </c>
      <c r="D15" s="19">
        <v>1000</v>
      </c>
      <c r="E15" s="20">
        <v>17</v>
      </c>
      <c r="F15" s="58">
        <v>15.38</v>
      </c>
      <c r="G15" s="37">
        <f>E15-F15</f>
        <v>1.6199999999999992</v>
      </c>
    </row>
    <row r="16" spans="1:7" x14ac:dyDescent="0.25">
      <c r="A16" s="48"/>
      <c r="B16" s="52"/>
      <c r="C16" s="25" t="s">
        <v>80</v>
      </c>
      <c r="D16" s="19">
        <v>1000</v>
      </c>
      <c r="E16" s="19">
        <v>17.5</v>
      </c>
      <c r="F16" s="58">
        <v>15.38</v>
      </c>
      <c r="G16" s="37">
        <f>E16-F16</f>
        <v>2.1199999999999992</v>
      </c>
    </row>
    <row r="17" spans="1:7" x14ac:dyDescent="0.25">
      <c r="A17" s="48"/>
      <c r="B17" s="52"/>
      <c r="C17" s="25" t="s">
        <v>81</v>
      </c>
      <c r="D17" s="19">
        <v>1000</v>
      </c>
      <c r="E17" s="19">
        <v>18.170000000000002</v>
      </c>
      <c r="F17" s="58">
        <v>15.38</v>
      </c>
      <c r="G17" s="37">
        <f t="shared" ref="G17:G18" si="0">E17-F17</f>
        <v>2.7900000000000009</v>
      </c>
    </row>
    <row r="18" spans="1:7" x14ac:dyDescent="0.25">
      <c r="A18" s="48"/>
      <c r="B18" s="9" t="s">
        <v>77</v>
      </c>
      <c r="C18" s="7" t="s">
        <v>82</v>
      </c>
      <c r="D18" s="9">
        <v>1000</v>
      </c>
      <c r="E18" s="9">
        <v>18.55</v>
      </c>
      <c r="F18" s="58">
        <v>15.38</v>
      </c>
      <c r="G18" s="36">
        <f t="shared" si="0"/>
        <v>3.17</v>
      </c>
    </row>
    <row r="19" spans="1:7" ht="60" x14ac:dyDescent="0.25">
      <c r="A19" s="59" t="s">
        <v>87</v>
      </c>
      <c r="B19" s="59" t="s">
        <v>75</v>
      </c>
      <c r="C19" s="59" t="s">
        <v>74</v>
      </c>
      <c r="D19" s="59" t="s">
        <v>84</v>
      </c>
      <c r="E19" s="59" t="s">
        <v>66</v>
      </c>
      <c r="F19" s="30" t="s">
        <v>73</v>
      </c>
      <c r="G19" s="55" t="s">
        <v>88</v>
      </c>
    </row>
    <row r="20" spans="1:7" x14ac:dyDescent="0.25">
      <c r="A20" s="9" t="s">
        <v>85</v>
      </c>
      <c r="B20" s="52" t="s">
        <v>76</v>
      </c>
      <c r="C20" s="25" t="s">
        <v>78</v>
      </c>
      <c r="D20" s="19">
        <v>1000</v>
      </c>
      <c r="E20" s="20" t="s">
        <v>6</v>
      </c>
      <c r="F20" s="58">
        <v>15.38</v>
      </c>
      <c r="G20" s="37" t="s">
        <v>83</v>
      </c>
    </row>
    <row r="21" spans="1:7" x14ac:dyDescent="0.25">
      <c r="A21" s="48" t="s">
        <v>86</v>
      </c>
      <c r="B21" s="52"/>
      <c r="C21" s="25" t="s">
        <v>79</v>
      </c>
      <c r="D21" s="19">
        <v>1000</v>
      </c>
      <c r="E21" s="20">
        <v>15.87</v>
      </c>
      <c r="F21" s="58">
        <v>15.38</v>
      </c>
      <c r="G21" s="37">
        <f>E21-F21</f>
        <v>0.48999999999999844</v>
      </c>
    </row>
    <row r="22" spans="1:7" x14ac:dyDescent="0.25">
      <c r="A22" s="48"/>
      <c r="B22" s="52"/>
      <c r="C22" s="25" t="s">
        <v>80</v>
      </c>
      <c r="D22" s="19">
        <v>1000</v>
      </c>
      <c r="E22" s="19">
        <v>16.04</v>
      </c>
      <c r="F22" s="58">
        <v>15.38</v>
      </c>
      <c r="G22" s="37">
        <f>E22-F22</f>
        <v>0.65999999999999837</v>
      </c>
    </row>
    <row r="23" spans="1:7" x14ac:dyDescent="0.25">
      <c r="A23" s="48"/>
      <c r="B23" s="52"/>
      <c r="C23" s="25" t="s">
        <v>81</v>
      </c>
      <c r="D23" s="19">
        <v>1000</v>
      </c>
      <c r="E23" s="19">
        <v>15.72</v>
      </c>
      <c r="F23" s="58">
        <v>15.38</v>
      </c>
      <c r="G23" s="37">
        <f t="shared" ref="G23:G24" si="1">E23-F23</f>
        <v>0.33999999999999986</v>
      </c>
    </row>
    <row r="24" spans="1:7" x14ac:dyDescent="0.25">
      <c r="A24" s="48"/>
      <c r="B24" s="9" t="s">
        <v>77</v>
      </c>
      <c r="C24" s="7" t="s">
        <v>82</v>
      </c>
      <c r="D24" s="9">
        <v>1000</v>
      </c>
      <c r="E24" s="9">
        <v>15.28</v>
      </c>
      <c r="F24" s="58">
        <v>15.38</v>
      </c>
      <c r="G24" s="36">
        <f t="shared" si="1"/>
        <v>-0.10000000000000142</v>
      </c>
    </row>
  </sheetData>
  <mergeCells count="6">
    <mergeCell ref="B14:B17"/>
    <mergeCell ref="B20:B23"/>
    <mergeCell ref="A15:A18"/>
    <mergeCell ref="A21:A24"/>
    <mergeCell ref="C2:C3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SF diffamt .E </vt:lpstr>
      <vt:lpstr>Sheet1</vt:lpstr>
      <vt:lpstr>Meeting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2022-06-06T06:24:59Z</dcterms:modified>
</cp:coreProperties>
</file>